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tfk\Desktop\"/>
    </mc:Choice>
  </mc:AlternateContent>
  <bookViews>
    <workbookView xWindow="0" yWindow="0" windowWidth="216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D5" i="1"/>
  <c r="G5" i="1" s="1"/>
  <c r="H5" i="1" s="1"/>
  <c r="I5" i="1" s="1"/>
  <c r="J5" i="1" s="1"/>
  <c r="G4" i="1"/>
  <c r="H4" i="1" s="1"/>
  <c r="D6" i="1" l="1"/>
  <c r="D7" i="1" l="1"/>
  <c r="G6" i="1"/>
  <c r="H6" i="1" s="1"/>
  <c r="I6" i="1" s="1"/>
  <c r="J6" i="1" s="1"/>
  <c r="G7" i="1" l="1"/>
  <c r="H7" i="1" s="1"/>
  <c r="I7" i="1" s="1"/>
  <c r="J7" i="1" s="1"/>
  <c r="D8" i="1"/>
  <c r="G8" i="1" l="1"/>
  <c r="H8" i="1" s="1"/>
  <c r="I8" i="1" s="1"/>
  <c r="J8" i="1" s="1"/>
  <c r="D9" i="1"/>
  <c r="D10" i="1" l="1"/>
  <c r="G9" i="1"/>
  <c r="H9" i="1" s="1"/>
  <c r="I9" i="1" s="1"/>
  <c r="J9" i="1" s="1"/>
  <c r="D11" i="1" l="1"/>
  <c r="G10" i="1"/>
  <c r="H10" i="1" s="1"/>
  <c r="I10" i="1" s="1"/>
  <c r="J10" i="1" s="1"/>
  <c r="D12" i="1" l="1"/>
  <c r="G11" i="1"/>
  <c r="H11" i="1" s="1"/>
  <c r="I11" i="1" s="1"/>
  <c r="J11" i="1" s="1"/>
  <c r="G12" i="1" l="1"/>
  <c r="H12" i="1" s="1"/>
  <c r="I12" i="1" s="1"/>
  <c r="J12" i="1" s="1"/>
  <c r="D13" i="1"/>
  <c r="G13" i="1" l="1"/>
  <c r="H13" i="1" s="1"/>
  <c r="I13" i="1" s="1"/>
  <c r="J13" i="1" s="1"/>
  <c r="D14" i="1"/>
  <c r="G14" i="1" l="1"/>
  <c r="H14" i="1" s="1"/>
  <c r="I14" i="1" s="1"/>
  <c r="J14" i="1" s="1"/>
  <c r="D15" i="1"/>
  <c r="G15" i="1" l="1"/>
  <c r="H15" i="1" s="1"/>
  <c r="I15" i="1" s="1"/>
  <c r="J15" i="1" s="1"/>
  <c r="D16" i="1"/>
  <c r="G16" i="1" l="1"/>
  <c r="H16" i="1" s="1"/>
  <c r="I16" i="1" s="1"/>
  <c r="J16" i="1" s="1"/>
  <c r="D17" i="1"/>
  <c r="D18" i="1" l="1"/>
  <c r="G17" i="1"/>
  <c r="H17" i="1" s="1"/>
  <c r="I17" i="1" s="1"/>
  <c r="J17" i="1" s="1"/>
  <c r="G18" i="1" l="1"/>
  <c r="H18" i="1" s="1"/>
  <c r="I18" i="1" s="1"/>
  <c r="J18" i="1" s="1"/>
  <c r="D19" i="1"/>
  <c r="D20" i="1" l="1"/>
  <c r="G19" i="1"/>
  <c r="H19" i="1" s="1"/>
  <c r="I19" i="1" s="1"/>
  <c r="J19" i="1" s="1"/>
  <c r="D21" i="1" l="1"/>
  <c r="G20" i="1"/>
  <c r="H20" i="1" s="1"/>
  <c r="I20" i="1" s="1"/>
  <c r="J20" i="1" s="1"/>
  <c r="G21" i="1" l="1"/>
  <c r="H21" i="1" s="1"/>
  <c r="I21" i="1" s="1"/>
  <c r="J21" i="1" s="1"/>
  <c r="D22" i="1"/>
  <c r="D23" i="1" l="1"/>
  <c r="G22" i="1"/>
  <c r="H22" i="1" s="1"/>
  <c r="I22" i="1" s="1"/>
  <c r="J22" i="1" s="1"/>
  <c r="G23" i="1" l="1"/>
  <c r="H23" i="1" s="1"/>
  <c r="I23" i="1" s="1"/>
  <c r="J23" i="1" s="1"/>
  <c r="D24" i="1"/>
  <c r="G24" i="1" l="1"/>
  <c r="H24" i="1" s="1"/>
  <c r="I24" i="1" s="1"/>
  <c r="J24" i="1" s="1"/>
  <c r="D25" i="1"/>
  <c r="D26" i="1" l="1"/>
  <c r="G25" i="1"/>
  <c r="H25" i="1" s="1"/>
  <c r="I25" i="1" s="1"/>
  <c r="D27" i="1" l="1"/>
  <c r="G26" i="1"/>
  <c r="H26" i="1" s="1"/>
  <c r="I26" i="1" s="1"/>
  <c r="J26" i="1" s="1"/>
  <c r="D28" i="1" l="1"/>
  <c r="G27" i="1"/>
  <c r="H27" i="1" s="1"/>
  <c r="I27" i="1" s="1"/>
  <c r="J27" i="1" s="1"/>
  <c r="D29" i="1" l="1"/>
  <c r="G28" i="1"/>
  <c r="H28" i="1" s="1"/>
  <c r="I28" i="1" s="1"/>
  <c r="J28" i="1" s="1"/>
  <c r="G29" i="1" l="1"/>
  <c r="H29" i="1" s="1"/>
  <c r="I29" i="1" s="1"/>
  <c r="J29" i="1" s="1"/>
  <c r="D30" i="1"/>
  <c r="D31" i="1" l="1"/>
  <c r="G30" i="1"/>
  <c r="H30" i="1" s="1"/>
  <c r="I30" i="1" s="1"/>
  <c r="J30" i="1" s="1"/>
  <c r="G31" i="1" l="1"/>
  <c r="H31" i="1" s="1"/>
  <c r="I31" i="1" s="1"/>
  <c r="J31" i="1" s="1"/>
  <c r="D32" i="1"/>
  <c r="G32" i="1" l="1"/>
  <c r="H32" i="1" s="1"/>
  <c r="I32" i="1" s="1"/>
  <c r="J32" i="1" s="1"/>
  <c r="D33" i="1"/>
  <c r="D34" i="1" l="1"/>
  <c r="G33" i="1"/>
  <c r="H33" i="1" s="1"/>
  <c r="I33" i="1" s="1"/>
  <c r="J33" i="1" s="1"/>
  <c r="G34" i="1" l="1"/>
  <c r="H34" i="1" s="1"/>
  <c r="I34" i="1" s="1"/>
  <c r="J34" i="1" s="1"/>
  <c r="D35" i="1"/>
  <c r="D36" i="1" l="1"/>
  <c r="G35" i="1"/>
  <c r="H35" i="1" s="1"/>
  <c r="I35" i="1" s="1"/>
  <c r="J35" i="1" s="1"/>
  <c r="D37" i="1" l="1"/>
  <c r="G36" i="1"/>
  <c r="H36" i="1" s="1"/>
  <c r="I36" i="1" s="1"/>
  <c r="J36" i="1" s="1"/>
  <c r="G37" i="1" l="1"/>
  <c r="H37" i="1" s="1"/>
  <c r="I37" i="1" s="1"/>
  <c r="J37" i="1" s="1"/>
  <c r="D38" i="1"/>
  <c r="D39" i="1" l="1"/>
  <c r="G38" i="1"/>
  <c r="H38" i="1" s="1"/>
  <c r="I38" i="1" s="1"/>
  <c r="J38" i="1" s="1"/>
  <c r="G39" i="1" l="1"/>
  <c r="H39" i="1" s="1"/>
  <c r="I39" i="1" s="1"/>
  <c r="J39" i="1" s="1"/>
  <c r="D40" i="1"/>
  <c r="D41" i="1" l="1"/>
  <c r="G40" i="1"/>
  <c r="H40" i="1" s="1"/>
  <c r="I40" i="1" s="1"/>
  <c r="J40" i="1" s="1"/>
  <c r="D42" i="1" l="1"/>
  <c r="G41" i="1"/>
  <c r="H41" i="1" s="1"/>
  <c r="I41" i="1" s="1"/>
  <c r="J41" i="1" s="1"/>
  <c r="G42" i="1" l="1"/>
  <c r="H42" i="1" s="1"/>
  <c r="I42" i="1" s="1"/>
  <c r="J42" i="1" s="1"/>
  <c r="D43" i="1"/>
  <c r="D44" i="1" l="1"/>
  <c r="G43" i="1"/>
  <c r="H43" i="1" s="1"/>
  <c r="I43" i="1" s="1"/>
  <c r="J43" i="1" s="1"/>
  <c r="D45" i="1" l="1"/>
  <c r="G44" i="1"/>
  <c r="H44" i="1" s="1"/>
  <c r="I44" i="1" s="1"/>
  <c r="J44" i="1" s="1"/>
  <c r="G45" i="1" l="1"/>
  <c r="H45" i="1" s="1"/>
  <c r="I45" i="1" s="1"/>
  <c r="J45" i="1" s="1"/>
  <c r="D46" i="1"/>
  <c r="D47" i="1" l="1"/>
  <c r="G46" i="1"/>
  <c r="H46" i="1" s="1"/>
  <c r="I46" i="1" s="1"/>
  <c r="J46" i="1" s="1"/>
  <c r="G47" i="1" l="1"/>
  <c r="H47" i="1" s="1"/>
  <c r="I47" i="1" s="1"/>
  <c r="J47" i="1" s="1"/>
  <c r="D48" i="1"/>
  <c r="D49" i="1" l="1"/>
  <c r="G48" i="1"/>
  <c r="H48" i="1" s="1"/>
  <c r="I48" i="1" s="1"/>
  <c r="J48" i="1" s="1"/>
  <c r="D50" i="1" l="1"/>
  <c r="G49" i="1"/>
  <c r="H49" i="1" s="1"/>
  <c r="I49" i="1" s="1"/>
  <c r="J49" i="1" s="1"/>
  <c r="G50" i="1" l="1"/>
  <c r="H50" i="1" s="1"/>
  <c r="I50" i="1" s="1"/>
  <c r="J50" i="1" s="1"/>
  <c r="D51" i="1"/>
  <c r="D52" i="1" l="1"/>
  <c r="G51" i="1"/>
  <c r="H51" i="1" s="1"/>
  <c r="I51" i="1" s="1"/>
  <c r="J51" i="1" s="1"/>
  <c r="G52" i="1" l="1"/>
  <c r="H52" i="1" s="1"/>
  <c r="I52" i="1" s="1"/>
  <c r="J52" i="1" s="1"/>
  <c r="D53" i="1"/>
  <c r="G53" i="1" l="1"/>
  <c r="H53" i="1" s="1"/>
  <c r="I53" i="1" s="1"/>
  <c r="J53" i="1" s="1"/>
  <c r="D54" i="1"/>
  <c r="D55" i="1" l="1"/>
  <c r="G54" i="1"/>
  <c r="H54" i="1" s="1"/>
  <c r="I54" i="1" s="1"/>
  <c r="J54" i="1" s="1"/>
  <c r="G55" i="1" l="1"/>
  <c r="H55" i="1" s="1"/>
  <c r="I55" i="1" s="1"/>
  <c r="J55" i="1" s="1"/>
  <c r="D56" i="1"/>
  <c r="G56" i="1" l="1"/>
  <c r="H56" i="1" s="1"/>
  <c r="I56" i="1" s="1"/>
  <c r="J56" i="1" s="1"/>
  <c r="D57" i="1"/>
  <c r="D58" i="1" l="1"/>
  <c r="G57" i="1"/>
  <c r="H57" i="1" s="1"/>
  <c r="I57" i="1" s="1"/>
  <c r="J57" i="1" s="1"/>
  <c r="G58" i="1" l="1"/>
  <c r="H58" i="1" s="1"/>
  <c r="I58" i="1" s="1"/>
  <c r="J58" i="1" s="1"/>
  <c r="D59" i="1"/>
  <c r="D60" i="1" l="1"/>
  <c r="G59" i="1"/>
  <c r="H59" i="1" s="1"/>
  <c r="I59" i="1" s="1"/>
  <c r="J59" i="1" s="1"/>
  <c r="G60" i="1" l="1"/>
  <c r="H60" i="1" s="1"/>
  <c r="I60" i="1" s="1"/>
  <c r="J60" i="1" s="1"/>
  <c r="D61" i="1"/>
  <c r="G61" i="1" l="1"/>
  <c r="H61" i="1" s="1"/>
  <c r="I61" i="1" s="1"/>
  <c r="J61" i="1" s="1"/>
  <c r="D62" i="1"/>
  <c r="D63" i="1" l="1"/>
  <c r="G62" i="1"/>
  <c r="H62" i="1" s="1"/>
  <c r="I62" i="1" s="1"/>
  <c r="J62" i="1" s="1"/>
  <c r="G63" i="1" l="1"/>
  <c r="H63" i="1" s="1"/>
  <c r="I63" i="1" s="1"/>
  <c r="J63" i="1" s="1"/>
  <c r="D64" i="1"/>
  <c r="G64" i="1" s="1"/>
  <c r="H64" i="1" s="1"/>
  <c r="I64" i="1" s="1"/>
  <c r="J64" i="1" s="1"/>
</calcChain>
</file>

<file path=xl/sharedStrings.xml><?xml version="1.0" encoding="utf-8"?>
<sst xmlns="http://schemas.openxmlformats.org/spreadsheetml/2006/main" count="247" uniqueCount="172">
  <si>
    <t>54 43 30 53 41 54 0B 0B 5A F6 77 48 01 00 00 00 4D 01 01 01 01 01 01 01 16 01 01 01 01 FF EA 00 14 00 06 00 F7 FC 65 02 0B 00 10 00 6C FF C3 00 02 00 02 00 02 00 02 00 02 00 02 00 02 00 02 00 02 00 12 03 53 00 10 00 11 00 07 03 47 00 08 03 5C 00 28 03 07 03 29 03 4E 00 22 00 08 03 18 00 05 03 5C 00 05 03 06 02 92 00 02 02 94 00 02 02 93 00 02 00 00 00 00 00 01 02 F9 00</t>
  </si>
  <si>
    <t>HEX</t>
  </si>
  <si>
    <t>Tanımlayıcı</t>
  </si>
  <si>
    <t>Identifier</t>
  </si>
  <si>
    <t>0x0B0B</t>
  </si>
  <si>
    <t>Telemetry Packet ID</t>
  </si>
  <si>
    <t>Zaman Damgası</t>
  </si>
  <si>
    <t>Timestamp</t>
  </si>
  <si>
    <t>Linux Timestamp</t>
  </si>
  <si>
    <t>Mod</t>
  </si>
  <si>
    <t>Mode</t>
  </si>
  <si>
    <t>1 - Safe, 2-Normal</t>
  </si>
  <si>
    <t>Restart Sayısı</t>
  </si>
  <si>
    <t>Execution Number</t>
  </si>
  <si>
    <t>Satellite execution number</t>
  </si>
  <si>
    <t>OBC Modem İşlemci Durumu</t>
  </si>
  <si>
    <t>OBCModem MCU Status</t>
  </si>
  <si>
    <t>0-not working, 1-working</t>
  </si>
  <si>
    <t>OBC Modem Beacon Durumu</t>
  </si>
  <si>
    <t>OBCModem Beacon Status</t>
  </si>
  <si>
    <t>CPUT Modem Durumu</t>
  </si>
  <si>
    <t>Modem status</t>
  </si>
  <si>
    <t>SD Kart 1 Durumu</t>
  </si>
  <si>
    <t>SD Card 1 Status</t>
  </si>
  <si>
    <t>SD Kart 2 Durumu</t>
  </si>
  <si>
    <t>SD Card 2 Status</t>
  </si>
  <si>
    <t>EPS Durumu</t>
  </si>
  <si>
    <t>EPS Status</t>
  </si>
  <si>
    <t>Batarya Durumu</t>
  </si>
  <si>
    <t>Battery Status</t>
  </si>
  <si>
    <t>Transponder Durumu</t>
  </si>
  <si>
    <t>Transponder Status</t>
  </si>
  <si>
    <t>0x15 On, 0x16 Off, else error</t>
  </si>
  <si>
    <t>Kontrol Kart Durumu</t>
  </si>
  <si>
    <t>Control Card Status</t>
  </si>
  <si>
    <t>İvmeölçer Durumu</t>
  </si>
  <si>
    <t>Accelerometer Status</t>
  </si>
  <si>
    <t>Manyetometre Durumu</t>
  </si>
  <si>
    <t>Magnetometer Status</t>
  </si>
  <si>
    <t>Jiroskop Durumu</t>
  </si>
  <si>
    <t>Gyroscope Status</t>
  </si>
  <si>
    <t>Ivmeölçer X değeri</t>
  </si>
  <si>
    <t>Accelerometer X Value</t>
  </si>
  <si>
    <t>x*0.004</t>
  </si>
  <si>
    <t>g</t>
  </si>
  <si>
    <t>Ivmeölçer Y değeri</t>
  </si>
  <si>
    <t>Accelerometer Y Value</t>
  </si>
  <si>
    <t>Ivmeölçer Z değeri</t>
  </si>
  <si>
    <t>Accelerometer Z Value</t>
  </si>
  <si>
    <t>Manyetometre X değeri</t>
  </si>
  <si>
    <t>Magnetometer X Value</t>
  </si>
  <si>
    <t>uT</t>
  </si>
  <si>
    <t>Manyetometre Y değeri</t>
  </si>
  <si>
    <t>Magnetometer Y Value</t>
  </si>
  <si>
    <t>Manyetometre Z değeri</t>
  </si>
  <si>
    <t>Magnetometer Z Value</t>
  </si>
  <si>
    <t>Jiroskop X değeri</t>
  </si>
  <si>
    <t>Gyroscope X Value</t>
  </si>
  <si>
    <t>x/ 14.375</t>
  </si>
  <si>
    <t>deg/s</t>
  </si>
  <si>
    <t>Jiroskop Y değeri</t>
  </si>
  <si>
    <t>Gyroscope Y Value</t>
  </si>
  <si>
    <t>Jiroskop Z değeri</t>
  </si>
  <si>
    <t>Gyroscope Z Value</t>
  </si>
  <si>
    <t>EPS BCR1  gerilim değeri</t>
  </si>
  <si>
    <t>EPS BCR1  voltage</t>
  </si>
  <si>
    <t>V</t>
  </si>
  <si>
    <t>x*0.0249</t>
  </si>
  <si>
    <t>EPS BCR1A  akım değeri</t>
  </si>
  <si>
    <t>EPS BCR1A  current</t>
  </si>
  <si>
    <t>A</t>
  </si>
  <si>
    <t>x*0.0009775</t>
  </si>
  <si>
    <t>EPS BCR1B  akım değeri</t>
  </si>
  <si>
    <t>EPS BCR1B  current</t>
  </si>
  <si>
    <t>EPS BCR2  gerilim değeri</t>
  </si>
  <si>
    <t>EPS BCR2  voltage</t>
  </si>
  <si>
    <t>EPS BCR2A  akım değeri</t>
  </si>
  <si>
    <t>EPS BCR2A  current</t>
  </si>
  <si>
    <t>EPS BCR2B  akım değeri</t>
  </si>
  <si>
    <t>EPS BCR2B  current</t>
  </si>
  <si>
    <t>EPS BCR3  gerilim değeri</t>
  </si>
  <si>
    <t>EPS BCR3  voltage</t>
  </si>
  <si>
    <t>EPS BCR3A  akım değeri</t>
  </si>
  <si>
    <t>EPS BCR3A  current</t>
  </si>
  <si>
    <t>EPS BCR3B  akım değeri</t>
  </si>
  <si>
    <t>EPS BCR3B  current</t>
  </si>
  <si>
    <t>EPS DIODE_OUT akımı</t>
  </si>
  <si>
    <t>EPS DIODE_OUT current</t>
  </si>
  <si>
    <t>mA</t>
  </si>
  <si>
    <t>x*14.662757</t>
  </si>
  <si>
    <t>EPS DIODE_OUT gerilim</t>
  </si>
  <si>
    <t>EPS DIODE_OUT voltage</t>
  </si>
  <si>
    <t>x*0.008993157</t>
  </si>
  <si>
    <t>EPS 3V3 kullandığı akım</t>
  </si>
  <si>
    <t>EPS 3V3 current usage</t>
  </si>
  <si>
    <t>x*0.001327547</t>
  </si>
  <si>
    <t>EPS 5V kullandığı akım</t>
  </si>
  <si>
    <t>EPS 5V current usage</t>
  </si>
  <si>
    <t>EPS Batarya akımı</t>
  </si>
  <si>
    <t>x*0.005237</t>
  </si>
  <si>
    <t>EPS Batarya gerilimi</t>
  </si>
  <si>
    <t>x*0.008978</t>
  </si>
  <si>
    <t>EPS 5V akımı</t>
  </si>
  <si>
    <t>EPS 5V current</t>
  </si>
  <si>
    <t>EPS 5V gerilimi</t>
  </si>
  <si>
    <t>EPS 5V voltage</t>
  </si>
  <si>
    <t>x*0.005865</t>
  </si>
  <si>
    <t>EPS 3V3 akımı</t>
  </si>
  <si>
    <t>EPS 3V3 current</t>
  </si>
  <si>
    <t>EPS 3V3 gerilimi</t>
  </si>
  <si>
    <t>EPS 3V3 voltage</t>
  </si>
  <si>
    <t>x*0.004311</t>
  </si>
  <si>
    <t>EPS Sıcaklığı</t>
  </si>
  <si>
    <t>EPS Temperature</t>
  </si>
  <si>
    <t>(x*0.372434) - 273.15</t>
  </si>
  <si>
    <r>
      <rPr>
        <sz val="11"/>
        <color theme="1"/>
        <rFont val="Calibri"/>
        <family val="2"/>
      </rPr>
      <t>⁰</t>
    </r>
    <r>
      <rPr>
        <sz val="11"/>
        <color theme="1"/>
        <rFont val="Calibri"/>
        <family val="2"/>
        <charset val="162"/>
      </rPr>
      <t>C</t>
    </r>
  </si>
  <si>
    <t>Batarya Gerilimi</t>
  </si>
  <si>
    <t>Battery Voltage</t>
  </si>
  <si>
    <t>x*0.008993</t>
  </si>
  <si>
    <t>Batarya Akımı</t>
  </si>
  <si>
    <t>Battery current</t>
  </si>
  <si>
    <t>Batarya Akım Yönü</t>
  </si>
  <si>
    <t>Battery current direction</t>
  </si>
  <si>
    <t>x&lt;512 charging, else discharging</t>
  </si>
  <si>
    <t>Batarya Sıcaklığı</t>
  </si>
  <si>
    <t>Battery Temperature</t>
  </si>
  <si>
    <t>(x* 0.372434) - 273.15</t>
  </si>
  <si>
    <t>Batarya 5V Akımı</t>
  </si>
  <si>
    <t>Battery 5V current</t>
  </si>
  <si>
    <t>x*1.327547</t>
  </si>
  <si>
    <t>Batarya 5V Gerilimi</t>
  </si>
  <si>
    <t>Battery 5V voltage</t>
  </si>
  <si>
    <t>Batarya 3V3 Akımı</t>
  </si>
  <si>
    <t>Battery 3V3 current</t>
  </si>
  <si>
    <t>Batarya 3V3 Gerilimi</t>
  </si>
  <si>
    <t>Battery 3V3 voltage</t>
  </si>
  <si>
    <t>Batarya 1. Kart sıcaklığı</t>
  </si>
  <si>
    <t>Battery 1 temperature</t>
  </si>
  <si>
    <t>(x*0.397600) - 238.57</t>
  </si>
  <si>
    <t>Batarya 1. Kart Isıtıcı durumu</t>
  </si>
  <si>
    <t>Battery 1 Heater status</t>
  </si>
  <si>
    <t>x&lt;512 Heater off else on</t>
  </si>
  <si>
    <t>Batarya 2. Kart sıcaklığı</t>
  </si>
  <si>
    <t>Battery 2 temperature</t>
  </si>
  <si>
    <t>Batarya 2. Kart Isıtıcı durumu</t>
  </si>
  <si>
    <t>Battery 2 heater status</t>
  </si>
  <si>
    <t>Batarya 3. Kart sıcaklığı</t>
  </si>
  <si>
    <t>Battery 3 temperature</t>
  </si>
  <si>
    <t>Batarya 3. Kart Isıtıcı durumu</t>
  </si>
  <si>
    <t>Battery 3 heater status</t>
  </si>
  <si>
    <t>Transponder Son açılma saati</t>
  </si>
  <si>
    <t>Transponder last activation time</t>
  </si>
  <si>
    <t>Last transponder activation timestamp</t>
  </si>
  <si>
    <t>OBC işlemci zamanı</t>
  </si>
  <si>
    <t>OBC uptime</t>
  </si>
  <si>
    <t>sn</t>
  </si>
  <si>
    <t>Field</t>
  </si>
  <si>
    <t>Byte size</t>
  </si>
  <si>
    <t>Position</t>
  </si>
  <si>
    <t>Value</t>
  </si>
  <si>
    <t>Unit</t>
  </si>
  <si>
    <t>x/1100*100</t>
  </si>
  <si>
    <t>x/980*100</t>
  </si>
  <si>
    <t>signed int16</t>
  </si>
  <si>
    <t>Comments</t>
  </si>
  <si>
    <t>Zero means transponder never active since last OBC reset</t>
  </si>
  <si>
    <t>INPUT</t>
  </si>
  <si>
    <t>Usage</t>
  </si>
  <si>
    <t>Input bytes from kiss frames starting after PID value (Always starts with 54 43 30 53 41 54)</t>
  </si>
  <si>
    <t>Tanım (Turkish)</t>
  </si>
  <si>
    <t>EPS Battery Current</t>
  </si>
  <si>
    <t>EPS Battery Voltage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</si>
</sst>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\ dd\ mmmm\ yyyy\ hh:mm:ss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Fill="1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1" xfId="0" applyFill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A28" workbookViewId="0">
      <selection activeCell="B52" sqref="B52"/>
    </sheetView>
  </sheetViews>
  <sheetFormatPr defaultRowHeight="15" x14ac:dyDescent="0.25"/>
  <cols>
    <col min="1" max="1" width="43.42578125" customWidth="1"/>
    <col min="2" max="2" width="30.140625" bestFit="1" customWidth="1"/>
    <col min="6" max="6" width="35.7109375" bestFit="1" customWidth="1"/>
    <col min="10" max="10" width="23" bestFit="1" customWidth="1"/>
    <col min="12" max="12" width="13.85546875" bestFit="1" customWidth="1"/>
  </cols>
  <sheetData>
    <row r="1" spans="1:12" x14ac:dyDescent="0.25">
      <c r="A1" t="s">
        <v>166</v>
      </c>
      <c r="B1" t="s">
        <v>167</v>
      </c>
    </row>
    <row r="2" spans="1:12" ht="120" x14ac:dyDescent="0.25">
      <c r="A2" s="1" t="s">
        <v>0</v>
      </c>
      <c r="B2" s="1" t="s">
        <v>168</v>
      </c>
    </row>
    <row r="3" spans="1:12" x14ac:dyDescent="0.25">
      <c r="A3" s="2" t="s">
        <v>169</v>
      </c>
      <c r="B3" s="2" t="s">
        <v>156</v>
      </c>
      <c r="C3" s="2" t="s">
        <v>157</v>
      </c>
      <c r="D3" s="2" t="s">
        <v>158</v>
      </c>
      <c r="E3" s="2"/>
      <c r="F3" s="2"/>
      <c r="G3" s="2" t="s">
        <v>1</v>
      </c>
      <c r="H3" s="2" t="s">
        <v>1</v>
      </c>
      <c r="I3" s="2" t="s">
        <v>159</v>
      </c>
      <c r="J3" s="2"/>
      <c r="K3" s="2" t="s">
        <v>160</v>
      </c>
      <c r="L3" s="3" t="s">
        <v>164</v>
      </c>
    </row>
    <row r="4" spans="1:12" x14ac:dyDescent="0.25">
      <c r="A4" s="2" t="s">
        <v>2</v>
      </c>
      <c r="B4" s="2" t="s">
        <v>3</v>
      </c>
      <c r="C4" s="2">
        <v>2</v>
      </c>
      <c r="D4" s="2">
        <v>19</v>
      </c>
      <c r="E4" s="2" t="s">
        <v>4</v>
      </c>
      <c r="F4" s="2" t="s">
        <v>5</v>
      </c>
      <c r="G4" s="2" t="str">
        <f t="shared" ref="G4:G35" si="0">MID($A$2,D4,C4*3)</f>
        <v xml:space="preserve">0B 0B </v>
      </c>
      <c r="H4" s="2" t="str">
        <f>SUBSTITUTE(G4," ","")</f>
        <v>0B0B</v>
      </c>
      <c r="I4" s="2"/>
      <c r="J4" s="2"/>
      <c r="K4" s="2"/>
    </row>
    <row r="5" spans="1:12" x14ac:dyDescent="0.25">
      <c r="A5" s="2" t="s">
        <v>6</v>
      </c>
      <c r="B5" s="2" t="s">
        <v>7</v>
      </c>
      <c r="C5" s="2">
        <v>4</v>
      </c>
      <c r="D5" s="2">
        <f>D4+C4*3</f>
        <v>25</v>
      </c>
      <c r="E5" s="2"/>
      <c r="F5" s="2" t="s">
        <v>8</v>
      </c>
      <c r="G5" s="2" t="str">
        <f t="shared" si="0"/>
        <v xml:space="preserve">5A F6 77 48 </v>
      </c>
      <c r="H5" s="2" t="str">
        <f t="shared" ref="H5:H64" si="1">SUBSTITUTE(G5," ","")</f>
        <v>5AF67748</v>
      </c>
      <c r="I5" s="2">
        <f>HEX2DEC(H5)</f>
        <v>1526101832</v>
      </c>
      <c r="J5" s="4">
        <f>I5/(60*60*24)+"1/1/1970"</f>
        <v>43232.215648148151</v>
      </c>
      <c r="K5" s="2"/>
    </row>
    <row r="6" spans="1:12" x14ac:dyDescent="0.25">
      <c r="A6" s="2" t="s">
        <v>9</v>
      </c>
      <c r="B6" s="2" t="s">
        <v>10</v>
      </c>
      <c r="C6" s="2">
        <v>1</v>
      </c>
      <c r="D6" s="2">
        <f>D5+C5*3</f>
        <v>37</v>
      </c>
      <c r="E6" s="2"/>
      <c r="F6" s="2" t="s">
        <v>11</v>
      </c>
      <c r="G6" s="2" t="str">
        <f t="shared" si="0"/>
        <v xml:space="preserve">01 </v>
      </c>
      <c r="H6" s="2" t="str">
        <f t="shared" si="1"/>
        <v>01</v>
      </c>
      <c r="I6" s="2">
        <f>HEX2DEC(H6)</f>
        <v>1</v>
      </c>
      <c r="J6" s="2" t="str">
        <f>IF(I6=2,"NORMAL","SAFE")</f>
        <v>SAFE</v>
      </c>
      <c r="K6" s="2"/>
    </row>
    <row r="7" spans="1:12" x14ac:dyDescent="0.25">
      <c r="A7" s="2" t="s">
        <v>12</v>
      </c>
      <c r="B7" s="2" t="s">
        <v>13</v>
      </c>
      <c r="C7" s="2">
        <v>4</v>
      </c>
      <c r="D7" s="2">
        <f t="shared" ref="D7:D64" si="2">D6+C6*3</f>
        <v>40</v>
      </c>
      <c r="E7" s="2"/>
      <c r="F7" s="2" t="s">
        <v>14</v>
      </c>
      <c r="G7" s="2" t="str">
        <f t="shared" si="0"/>
        <v xml:space="preserve">00 00 00 4D </v>
      </c>
      <c r="H7" s="2" t="str">
        <f t="shared" si="1"/>
        <v>0000004D</v>
      </c>
      <c r="I7" s="2">
        <f t="shared" ref="I7:I64" si="3">HEX2DEC(H7)</f>
        <v>77</v>
      </c>
      <c r="J7" s="2">
        <f>I7</f>
        <v>77</v>
      </c>
      <c r="K7" s="2"/>
    </row>
    <row r="8" spans="1:12" x14ac:dyDescent="0.25">
      <c r="A8" s="2" t="s">
        <v>15</v>
      </c>
      <c r="B8" s="2" t="s">
        <v>16</v>
      </c>
      <c r="C8" s="2">
        <v>1</v>
      </c>
      <c r="D8" s="2">
        <f t="shared" si="2"/>
        <v>52</v>
      </c>
      <c r="E8" s="2"/>
      <c r="F8" s="2" t="s">
        <v>17</v>
      </c>
      <c r="G8" s="2" t="str">
        <f t="shared" si="0"/>
        <v xml:space="preserve">01 </v>
      </c>
      <c r="H8" s="2" t="str">
        <f t="shared" si="1"/>
        <v>01</v>
      </c>
      <c r="I8" s="2">
        <f t="shared" si="3"/>
        <v>1</v>
      </c>
      <c r="J8" s="2" t="str">
        <f>IF(I8=1,"WORKING",IF(I8=0,"NOT WORKING","ERROR"))</f>
        <v>WORKING</v>
      </c>
      <c r="K8" s="2"/>
    </row>
    <row r="9" spans="1:12" x14ac:dyDescent="0.25">
      <c r="A9" s="2" t="s">
        <v>18</v>
      </c>
      <c r="B9" s="2" t="s">
        <v>19</v>
      </c>
      <c r="C9" s="2">
        <v>1</v>
      </c>
      <c r="D9" s="2">
        <f t="shared" si="2"/>
        <v>55</v>
      </c>
      <c r="E9" s="2"/>
      <c r="F9" s="2" t="s">
        <v>17</v>
      </c>
      <c r="G9" s="2" t="str">
        <f t="shared" si="0"/>
        <v xml:space="preserve">01 </v>
      </c>
      <c r="H9" s="2" t="str">
        <f t="shared" si="1"/>
        <v>01</v>
      </c>
      <c r="I9" s="2">
        <f t="shared" si="3"/>
        <v>1</v>
      </c>
      <c r="J9" s="2" t="str">
        <f t="shared" ref="J9:J19" si="4">IF(I9=1,"WORKING",IF(I9=0,"NOT WORKING","ERROR"))</f>
        <v>WORKING</v>
      </c>
      <c r="K9" s="2"/>
    </row>
    <row r="10" spans="1:12" x14ac:dyDescent="0.25">
      <c r="A10" s="2" t="s">
        <v>20</v>
      </c>
      <c r="B10" s="2" t="s">
        <v>21</v>
      </c>
      <c r="C10" s="2">
        <v>1</v>
      </c>
      <c r="D10" s="2">
        <f t="shared" si="2"/>
        <v>58</v>
      </c>
      <c r="E10" s="2"/>
      <c r="F10" s="2" t="s">
        <v>17</v>
      </c>
      <c r="G10" s="2" t="str">
        <f t="shared" si="0"/>
        <v xml:space="preserve">01 </v>
      </c>
      <c r="H10" s="2" t="str">
        <f t="shared" si="1"/>
        <v>01</v>
      </c>
      <c r="I10" s="2">
        <f t="shared" si="3"/>
        <v>1</v>
      </c>
      <c r="J10" s="2" t="str">
        <f t="shared" si="4"/>
        <v>WORKING</v>
      </c>
      <c r="K10" s="2"/>
    </row>
    <row r="11" spans="1:12" x14ac:dyDescent="0.25">
      <c r="A11" s="2" t="s">
        <v>22</v>
      </c>
      <c r="B11" s="2" t="s">
        <v>23</v>
      </c>
      <c r="C11" s="2">
        <v>1</v>
      </c>
      <c r="D11" s="2">
        <f t="shared" si="2"/>
        <v>61</v>
      </c>
      <c r="E11" s="2"/>
      <c r="F11" s="2" t="s">
        <v>17</v>
      </c>
      <c r="G11" s="2" t="str">
        <f t="shared" si="0"/>
        <v xml:space="preserve">01 </v>
      </c>
      <c r="H11" s="2" t="str">
        <f t="shared" si="1"/>
        <v>01</v>
      </c>
      <c r="I11" s="2">
        <f t="shared" si="3"/>
        <v>1</v>
      </c>
      <c r="J11" s="2" t="str">
        <f t="shared" si="4"/>
        <v>WORKING</v>
      </c>
      <c r="K11" s="2"/>
    </row>
    <row r="12" spans="1:12" x14ac:dyDescent="0.25">
      <c r="A12" s="2" t="s">
        <v>24</v>
      </c>
      <c r="B12" s="2" t="s">
        <v>25</v>
      </c>
      <c r="C12" s="2">
        <v>1</v>
      </c>
      <c r="D12" s="2">
        <f t="shared" si="2"/>
        <v>64</v>
      </c>
      <c r="E12" s="2"/>
      <c r="F12" s="2" t="s">
        <v>17</v>
      </c>
      <c r="G12" s="2" t="str">
        <f t="shared" si="0"/>
        <v xml:space="preserve">01 </v>
      </c>
      <c r="H12" s="2" t="str">
        <f t="shared" si="1"/>
        <v>01</v>
      </c>
      <c r="I12" s="2">
        <f t="shared" si="3"/>
        <v>1</v>
      </c>
      <c r="J12" s="2" t="str">
        <f t="shared" si="4"/>
        <v>WORKING</v>
      </c>
      <c r="K12" s="2"/>
    </row>
    <row r="13" spans="1:12" x14ac:dyDescent="0.25">
      <c r="A13" s="2" t="s">
        <v>26</v>
      </c>
      <c r="B13" s="2" t="s">
        <v>27</v>
      </c>
      <c r="C13" s="2">
        <v>1</v>
      </c>
      <c r="D13" s="2">
        <f t="shared" si="2"/>
        <v>67</v>
      </c>
      <c r="E13" s="2"/>
      <c r="F13" s="2" t="s">
        <v>17</v>
      </c>
      <c r="G13" s="2" t="str">
        <f t="shared" si="0"/>
        <v xml:space="preserve">01 </v>
      </c>
      <c r="H13" s="2" t="str">
        <f t="shared" si="1"/>
        <v>01</v>
      </c>
      <c r="I13" s="2">
        <f t="shared" si="3"/>
        <v>1</v>
      </c>
      <c r="J13" s="2" t="str">
        <f t="shared" si="4"/>
        <v>WORKING</v>
      </c>
      <c r="K13" s="2"/>
    </row>
    <row r="14" spans="1:12" x14ac:dyDescent="0.25">
      <c r="A14" s="2" t="s">
        <v>28</v>
      </c>
      <c r="B14" s="2" t="s">
        <v>29</v>
      </c>
      <c r="C14" s="2">
        <v>1</v>
      </c>
      <c r="D14" s="2">
        <f t="shared" si="2"/>
        <v>70</v>
      </c>
      <c r="E14" s="2"/>
      <c r="F14" s="2" t="s">
        <v>17</v>
      </c>
      <c r="G14" s="2" t="str">
        <f t="shared" si="0"/>
        <v xml:space="preserve">01 </v>
      </c>
      <c r="H14" s="2" t="str">
        <f t="shared" si="1"/>
        <v>01</v>
      </c>
      <c r="I14" s="2">
        <f t="shared" si="3"/>
        <v>1</v>
      </c>
      <c r="J14" s="2" t="str">
        <f t="shared" si="4"/>
        <v>WORKING</v>
      </c>
      <c r="K14" s="2"/>
    </row>
    <row r="15" spans="1:12" x14ac:dyDescent="0.25">
      <c r="A15" s="2" t="s">
        <v>30</v>
      </c>
      <c r="B15" s="2" t="s">
        <v>31</v>
      </c>
      <c r="C15" s="2">
        <v>1</v>
      </c>
      <c r="D15" s="2">
        <f t="shared" si="2"/>
        <v>73</v>
      </c>
      <c r="E15" s="2"/>
      <c r="F15" s="2" t="s">
        <v>32</v>
      </c>
      <c r="G15" s="2" t="str">
        <f t="shared" si="0"/>
        <v xml:space="preserve">16 </v>
      </c>
      <c r="H15" s="2" t="str">
        <f t="shared" si="1"/>
        <v>16</v>
      </c>
      <c r="I15" s="2">
        <f t="shared" si="3"/>
        <v>22</v>
      </c>
      <c r="J15" s="2" t="str">
        <f>IF(I15=21,"ON",IF(I15=22,"OFF","ERROR"))</f>
        <v>OFF</v>
      </c>
      <c r="K15" s="2"/>
    </row>
    <row r="16" spans="1:12" x14ac:dyDescent="0.25">
      <c r="A16" s="2" t="s">
        <v>33</v>
      </c>
      <c r="B16" s="2" t="s">
        <v>34</v>
      </c>
      <c r="C16" s="2">
        <v>1</v>
      </c>
      <c r="D16" s="2">
        <f t="shared" si="2"/>
        <v>76</v>
      </c>
      <c r="E16" s="2"/>
      <c r="F16" s="2" t="s">
        <v>17</v>
      </c>
      <c r="G16" s="2" t="str">
        <f t="shared" si="0"/>
        <v xml:space="preserve">01 </v>
      </c>
      <c r="H16" s="2" t="str">
        <f t="shared" si="1"/>
        <v>01</v>
      </c>
      <c r="I16" s="2">
        <f t="shared" si="3"/>
        <v>1</v>
      </c>
      <c r="J16" s="2" t="str">
        <f t="shared" si="4"/>
        <v>WORKING</v>
      </c>
      <c r="K16" s="2"/>
    </row>
    <row r="17" spans="1:12" x14ac:dyDescent="0.25">
      <c r="A17" s="2" t="s">
        <v>35</v>
      </c>
      <c r="B17" s="2" t="s">
        <v>36</v>
      </c>
      <c r="C17" s="2">
        <v>1</v>
      </c>
      <c r="D17" s="2">
        <f t="shared" si="2"/>
        <v>79</v>
      </c>
      <c r="E17" s="2"/>
      <c r="F17" s="2" t="s">
        <v>17</v>
      </c>
      <c r="G17" s="2" t="str">
        <f t="shared" si="0"/>
        <v xml:space="preserve">01 </v>
      </c>
      <c r="H17" s="2" t="str">
        <f t="shared" si="1"/>
        <v>01</v>
      </c>
      <c r="I17" s="2">
        <f t="shared" si="3"/>
        <v>1</v>
      </c>
      <c r="J17" s="2" t="str">
        <f t="shared" si="4"/>
        <v>WORKING</v>
      </c>
      <c r="K17" s="2"/>
    </row>
    <row r="18" spans="1:12" x14ac:dyDescent="0.25">
      <c r="A18" s="2" t="s">
        <v>37</v>
      </c>
      <c r="B18" s="2" t="s">
        <v>38</v>
      </c>
      <c r="C18" s="2">
        <v>1</v>
      </c>
      <c r="D18" s="2">
        <f t="shared" si="2"/>
        <v>82</v>
      </c>
      <c r="E18" s="2"/>
      <c r="F18" s="2" t="s">
        <v>17</v>
      </c>
      <c r="G18" s="2" t="str">
        <f t="shared" si="0"/>
        <v xml:space="preserve">01 </v>
      </c>
      <c r="H18" s="2" t="str">
        <f t="shared" si="1"/>
        <v>01</v>
      </c>
      <c r="I18" s="2">
        <f t="shared" si="3"/>
        <v>1</v>
      </c>
      <c r="J18" s="2" t="str">
        <f t="shared" si="4"/>
        <v>WORKING</v>
      </c>
      <c r="K18" s="2"/>
    </row>
    <row r="19" spans="1:12" x14ac:dyDescent="0.25">
      <c r="A19" s="2" t="s">
        <v>39</v>
      </c>
      <c r="B19" s="2" t="s">
        <v>40</v>
      </c>
      <c r="C19" s="2">
        <v>1</v>
      </c>
      <c r="D19" s="2">
        <f t="shared" si="2"/>
        <v>85</v>
      </c>
      <c r="E19" s="2"/>
      <c r="F19" s="2" t="s">
        <v>17</v>
      </c>
      <c r="G19" s="2" t="str">
        <f t="shared" si="0"/>
        <v xml:space="preserve">01 </v>
      </c>
      <c r="H19" s="2" t="str">
        <f t="shared" si="1"/>
        <v>01</v>
      </c>
      <c r="I19" s="2">
        <f t="shared" si="3"/>
        <v>1</v>
      </c>
      <c r="J19" s="2" t="str">
        <f t="shared" si="4"/>
        <v>WORKING</v>
      </c>
      <c r="K19" s="2"/>
    </row>
    <row r="20" spans="1:12" x14ac:dyDescent="0.25">
      <c r="A20" s="2" t="s">
        <v>41</v>
      </c>
      <c r="B20" s="2" t="s">
        <v>42</v>
      </c>
      <c r="C20" s="2">
        <v>2</v>
      </c>
      <c r="D20" s="2">
        <f t="shared" si="2"/>
        <v>88</v>
      </c>
      <c r="E20" s="2"/>
      <c r="F20" s="2" t="s">
        <v>43</v>
      </c>
      <c r="G20" s="2" t="str">
        <f t="shared" si="0"/>
        <v xml:space="preserve">FF EA </v>
      </c>
      <c r="H20" s="2" t="str">
        <f t="shared" si="1"/>
        <v>FFEA</v>
      </c>
      <c r="I20" s="2">
        <f>HEX2DEC(H20)-IF(ISERR(FIND(LEFT(H20),"01234567")),16^LEN(H20),0)</f>
        <v>-22</v>
      </c>
      <c r="J20" s="5">
        <f>I20*0.004</f>
        <v>-8.7999999999999995E-2</v>
      </c>
      <c r="K20" s="2" t="s">
        <v>44</v>
      </c>
      <c r="L20" t="s">
        <v>163</v>
      </c>
    </row>
    <row r="21" spans="1:12" x14ac:dyDescent="0.25">
      <c r="A21" s="2" t="s">
        <v>45</v>
      </c>
      <c r="B21" s="2" t="s">
        <v>46</v>
      </c>
      <c r="C21" s="2">
        <v>2</v>
      </c>
      <c r="D21" s="2">
        <f t="shared" si="2"/>
        <v>94</v>
      </c>
      <c r="E21" s="2"/>
      <c r="F21" s="2" t="s">
        <v>43</v>
      </c>
      <c r="G21" s="2" t="str">
        <f t="shared" si="0"/>
        <v xml:space="preserve">00 14 </v>
      </c>
      <c r="H21" s="2" t="str">
        <f t="shared" si="1"/>
        <v>0014</v>
      </c>
      <c r="I21" s="2">
        <f t="shared" ref="I21:I28" si="5">HEX2DEC(H21)-IF(ISERR(FIND(LEFT(H21),"01234567")),16^LEN(H21),0)</f>
        <v>20</v>
      </c>
      <c r="J21" s="5">
        <f>I21*0.004</f>
        <v>0.08</v>
      </c>
      <c r="K21" s="2" t="s">
        <v>44</v>
      </c>
      <c r="L21" t="s">
        <v>163</v>
      </c>
    </row>
    <row r="22" spans="1:12" x14ac:dyDescent="0.25">
      <c r="A22" s="2" t="s">
        <v>47</v>
      </c>
      <c r="B22" s="2" t="s">
        <v>48</v>
      </c>
      <c r="C22" s="2">
        <v>2</v>
      </c>
      <c r="D22" s="2">
        <f t="shared" si="2"/>
        <v>100</v>
      </c>
      <c r="E22" s="2"/>
      <c r="F22" s="2" t="s">
        <v>43</v>
      </c>
      <c r="G22" s="2" t="str">
        <f t="shared" si="0"/>
        <v xml:space="preserve">00 06 </v>
      </c>
      <c r="H22" s="2" t="str">
        <f t="shared" si="1"/>
        <v>0006</v>
      </c>
      <c r="I22" s="2">
        <f t="shared" si="5"/>
        <v>6</v>
      </c>
      <c r="J22" s="5">
        <f>I22*0.004</f>
        <v>2.4E-2</v>
      </c>
      <c r="K22" s="2" t="s">
        <v>44</v>
      </c>
      <c r="L22" t="s">
        <v>163</v>
      </c>
    </row>
    <row r="23" spans="1:12" x14ac:dyDescent="0.25">
      <c r="A23" s="2" t="s">
        <v>49</v>
      </c>
      <c r="B23" s="2" t="s">
        <v>50</v>
      </c>
      <c r="C23" s="2">
        <v>2</v>
      </c>
      <c r="D23" s="2">
        <f t="shared" si="2"/>
        <v>106</v>
      </c>
      <c r="E23" s="2"/>
      <c r="F23" s="2" t="s">
        <v>161</v>
      </c>
      <c r="G23" s="2" t="str">
        <f t="shared" si="0"/>
        <v xml:space="preserve">00 F7 </v>
      </c>
      <c r="H23" s="2" t="str">
        <f t="shared" si="1"/>
        <v>00F7</v>
      </c>
      <c r="I23" s="2">
        <f t="shared" si="5"/>
        <v>247</v>
      </c>
      <c r="J23" s="5">
        <f>I23/1100*100</f>
        <v>22.454545454545453</v>
      </c>
      <c r="K23" s="2" t="s">
        <v>51</v>
      </c>
      <c r="L23" t="s">
        <v>163</v>
      </c>
    </row>
    <row r="24" spans="1:12" x14ac:dyDescent="0.25">
      <c r="A24" s="2" t="s">
        <v>52</v>
      </c>
      <c r="B24" s="2" t="s">
        <v>53</v>
      </c>
      <c r="C24" s="2">
        <v>2</v>
      </c>
      <c r="D24" s="2">
        <f t="shared" si="2"/>
        <v>112</v>
      </c>
      <c r="E24" s="2"/>
      <c r="F24" s="2" t="s">
        <v>161</v>
      </c>
      <c r="G24" s="2" t="str">
        <f t="shared" si="0"/>
        <v xml:space="preserve">FC 65 </v>
      </c>
      <c r="H24" s="2" t="str">
        <f t="shared" si="1"/>
        <v>FC65</v>
      </c>
      <c r="I24" s="2">
        <f t="shared" si="5"/>
        <v>-923</v>
      </c>
      <c r="J24" s="5">
        <f t="shared" ref="J24" si="6">I24/1100*100</f>
        <v>-83.909090909090907</v>
      </c>
      <c r="K24" s="2" t="s">
        <v>51</v>
      </c>
      <c r="L24" t="s">
        <v>163</v>
      </c>
    </row>
    <row r="25" spans="1:12" x14ac:dyDescent="0.25">
      <c r="A25" s="2" t="s">
        <v>54</v>
      </c>
      <c r="B25" s="2" t="s">
        <v>55</v>
      </c>
      <c r="C25" s="2">
        <v>2</v>
      </c>
      <c r="D25" s="2">
        <f t="shared" si="2"/>
        <v>118</v>
      </c>
      <c r="E25" s="2"/>
      <c r="F25" s="2" t="s">
        <v>162</v>
      </c>
      <c r="G25" s="2" t="str">
        <f t="shared" si="0"/>
        <v xml:space="preserve">02 0B </v>
      </c>
      <c r="H25" s="2" t="str">
        <f t="shared" si="1"/>
        <v>020B</v>
      </c>
      <c r="I25" s="2">
        <f t="shared" si="5"/>
        <v>523</v>
      </c>
      <c r="J25" s="5">
        <f>I25/980*100</f>
        <v>53.367346938775505</v>
      </c>
      <c r="K25" s="2" t="s">
        <v>51</v>
      </c>
      <c r="L25" t="s">
        <v>163</v>
      </c>
    </row>
    <row r="26" spans="1:12" x14ac:dyDescent="0.25">
      <c r="A26" s="2" t="s">
        <v>56</v>
      </c>
      <c r="B26" s="2" t="s">
        <v>57</v>
      </c>
      <c r="C26" s="2">
        <v>2</v>
      </c>
      <c r="D26" s="2">
        <f t="shared" si="2"/>
        <v>124</v>
      </c>
      <c r="E26" s="2"/>
      <c r="F26" s="2" t="s">
        <v>58</v>
      </c>
      <c r="G26" s="2" t="str">
        <f t="shared" si="0"/>
        <v xml:space="preserve">00 10 </v>
      </c>
      <c r="H26" s="2" t="str">
        <f t="shared" si="1"/>
        <v>0010</v>
      </c>
      <c r="I26" s="2">
        <f t="shared" si="5"/>
        <v>16</v>
      </c>
      <c r="J26" s="5">
        <f>I26/14.375</f>
        <v>1.1130434782608696</v>
      </c>
      <c r="K26" s="2" t="s">
        <v>59</v>
      </c>
      <c r="L26" t="s">
        <v>163</v>
      </c>
    </row>
    <row r="27" spans="1:12" x14ac:dyDescent="0.25">
      <c r="A27" s="2" t="s">
        <v>60</v>
      </c>
      <c r="B27" s="2" t="s">
        <v>61</v>
      </c>
      <c r="C27" s="2">
        <v>2</v>
      </c>
      <c r="D27" s="2">
        <f t="shared" si="2"/>
        <v>130</v>
      </c>
      <c r="E27" s="2"/>
      <c r="F27" s="2" t="s">
        <v>58</v>
      </c>
      <c r="G27" s="2" t="str">
        <f t="shared" si="0"/>
        <v xml:space="preserve">00 6C </v>
      </c>
      <c r="H27" s="2" t="str">
        <f t="shared" si="1"/>
        <v>006C</v>
      </c>
      <c r="I27" s="2">
        <f t="shared" si="5"/>
        <v>108</v>
      </c>
      <c r="J27" s="5">
        <f>I27/14.375</f>
        <v>7.5130434782608697</v>
      </c>
      <c r="K27" s="2" t="s">
        <v>59</v>
      </c>
      <c r="L27" t="s">
        <v>163</v>
      </c>
    </row>
    <row r="28" spans="1:12" x14ac:dyDescent="0.25">
      <c r="A28" s="2" t="s">
        <v>62</v>
      </c>
      <c r="B28" s="2" t="s">
        <v>63</v>
      </c>
      <c r="C28" s="2">
        <v>2</v>
      </c>
      <c r="D28" s="2">
        <f t="shared" si="2"/>
        <v>136</v>
      </c>
      <c r="E28" s="2"/>
      <c r="F28" s="2" t="s">
        <v>58</v>
      </c>
      <c r="G28" s="2" t="str">
        <f t="shared" si="0"/>
        <v xml:space="preserve">FF C3 </v>
      </c>
      <c r="H28" s="2" t="str">
        <f t="shared" si="1"/>
        <v>FFC3</v>
      </c>
      <c r="I28" s="2">
        <f t="shared" si="5"/>
        <v>-61</v>
      </c>
      <c r="J28" s="5">
        <f>I28/14.375</f>
        <v>-4.2434782608695656</v>
      </c>
      <c r="K28" s="2" t="s">
        <v>59</v>
      </c>
      <c r="L28" t="s">
        <v>163</v>
      </c>
    </row>
    <row r="29" spans="1:12" x14ac:dyDescent="0.25">
      <c r="A29" s="2" t="s">
        <v>64</v>
      </c>
      <c r="B29" s="2" t="s">
        <v>65</v>
      </c>
      <c r="C29" s="2">
        <v>2</v>
      </c>
      <c r="D29" s="2">
        <f t="shared" si="2"/>
        <v>142</v>
      </c>
      <c r="E29" s="2"/>
      <c r="F29" s="2" t="s">
        <v>67</v>
      </c>
      <c r="G29" s="2" t="str">
        <f t="shared" si="0"/>
        <v xml:space="preserve">00 02 </v>
      </c>
      <c r="H29" s="2" t="str">
        <f t="shared" si="1"/>
        <v>0002</v>
      </c>
      <c r="I29" s="2">
        <f t="shared" si="3"/>
        <v>2</v>
      </c>
      <c r="J29" s="5">
        <f>I29*0.0249</f>
        <v>4.9799999999999997E-2</v>
      </c>
      <c r="K29" s="2" t="s">
        <v>66</v>
      </c>
    </row>
    <row r="30" spans="1:12" x14ac:dyDescent="0.25">
      <c r="A30" s="2" t="s">
        <v>68</v>
      </c>
      <c r="B30" s="2" t="s">
        <v>69</v>
      </c>
      <c r="C30" s="2">
        <v>2</v>
      </c>
      <c r="D30" s="2">
        <f t="shared" si="2"/>
        <v>148</v>
      </c>
      <c r="E30" s="2"/>
      <c r="F30" s="2" t="s">
        <v>71</v>
      </c>
      <c r="G30" s="2" t="str">
        <f t="shared" si="0"/>
        <v xml:space="preserve">00 02 </v>
      </c>
      <c r="H30" s="2" t="str">
        <f t="shared" si="1"/>
        <v>0002</v>
      </c>
      <c r="I30" s="2">
        <f t="shared" si="3"/>
        <v>2</v>
      </c>
      <c r="J30" s="5">
        <f>I30*0.009775</f>
        <v>1.9550000000000001E-2</v>
      </c>
      <c r="K30" s="2" t="s">
        <v>70</v>
      </c>
    </row>
    <row r="31" spans="1:12" x14ac:dyDescent="0.25">
      <c r="A31" s="2" t="s">
        <v>72</v>
      </c>
      <c r="B31" s="2" t="s">
        <v>73</v>
      </c>
      <c r="C31" s="2">
        <v>2</v>
      </c>
      <c r="D31" s="2">
        <f t="shared" si="2"/>
        <v>154</v>
      </c>
      <c r="E31" s="2"/>
      <c r="F31" s="2" t="s">
        <v>71</v>
      </c>
      <c r="G31" s="2" t="str">
        <f t="shared" si="0"/>
        <v xml:space="preserve">00 02 </v>
      </c>
      <c r="H31" s="2" t="str">
        <f t="shared" si="1"/>
        <v>0002</v>
      </c>
      <c r="I31" s="2">
        <f t="shared" si="3"/>
        <v>2</v>
      </c>
      <c r="J31" s="5">
        <f>I31*0.009775</f>
        <v>1.9550000000000001E-2</v>
      </c>
      <c r="K31" s="2" t="s">
        <v>70</v>
      </c>
    </row>
    <row r="32" spans="1:12" x14ac:dyDescent="0.25">
      <c r="A32" s="2" t="s">
        <v>74</v>
      </c>
      <c r="B32" s="2" t="s">
        <v>75</v>
      </c>
      <c r="C32" s="2">
        <v>2</v>
      </c>
      <c r="D32" s="2">
        <f t="shared" si="2"/>
        <v>160</v>
      </c>
      <c r="E32" s="2"/>
      <c r="F32" s="2" t="s">
        <v>67</v>
      </c>
      <c r="G32" s="2" t="str">
        <f t="shared" si="0"/>
        <v xml:space="preserve">00 02 </v>
      </c>
      <c r="H32" s="2" t="str">
        <f t="shared" si="1"/>
        <v>0002</v>
      </c>
      <c r="I32" s="2">
        <f t="shared" si="3"/>
        <v>2</v>
      </c>
      <c r="J32" s="5">
        <f>I32*0.0249</f>
        <v>4.9799999999999997E-2</v>
      </c>
      <c r="K32" s="2" t="s">
        <v>66</v>
      </c>
    </row>
    <row r="33" spans="1:11" x14ac:dyDescent="0.25">
      <c r="A33" s="2" t="s">
        <v>76</v>
      </c>
      <c r="B33" s="2" t="s">
        <v>77</v>
      </c>
      <c r="C33" s="2">
        <v>2</v>
      </c>
      <c r="D33" s="2">
        <f t="shared" si="2"/>
        <v>166</v>
      </c>
      <c r="E33" s="2"/>
      <c r="F33" s="2" t="s">
        <v>71</v>
      </c>
      <c r="G33" s="2" t="str">
        <f t="shared" si="0"/>
        <v xml:space="preserve">00 02 </v>
      </c>
      <c r="H33" s="2" t="str">
        <f t="shared" si="1"/>
        <v>0002</v>
      </c>
      <c r="I33" s="2">
        <f t="shared" si="3"/>
        <v>2</v>
      </c>
      <c r="J33" s="5">
        <f>I33*0.009775</f>
        <v>1.9550000000000001E-2</v>
      </c>
      <c r="K33" s="2" t="s">
        <v>70</v>
      </c>
    </row>
    <row r="34" spans="1:11" x14ac:dyDescent="0.25">
      <c r="A34" s="2" t="s">
        <v>78</v>
      </c>
      <c r="B34" s="2" t="s">
        <v>79</v>
      </c>
      <c r="C34" s="2">
        <v>2</v>
      </c>
      <c r="D34" s="2">
        <f t="shared" si="2"/>
        <v>172</v>
      </c>
      <c r="E34" s="2"/>
      <c r="F34" s="2" t="s">
        <v>71</v>
      </c>
      <c r="G34" s="2" t="str">
        <f t="shared" si="0"/>
        <v xml:space="preserve">00 02 </v>
      </c>
      <c r="H34" s="2" t="str">
        <f t="shared" si="1"/>
        <v>0002</v>
      </c>
      <c r="I34" s="2">
        <f t="shared" si="3"/>
        <v>2</v>
      </c>
      <c r="J34" s="5">
        <f>I34*0.009775</f>
        <v>1.9550000000000001E-2</v>
      </c>
      <c r="K34" s="2" t="s">
        <v>70</v>
      </c>
    </row>
    <row r="35" spans="1:11" x14ac:dyDescent="0.25">
      <c r="A35" s="2" t="s">
        <v>80</v>
      </c>
      <c r="B35" s="2" t="s">
        <v>81</v>
      </c>
      <c r="C35" s="2">
        <v>2</v>
      </c>
      <c r="D35" s="2">
        <f t="shared" si="2"/>
        <v>178</v>
      </c>
      <c r="E35" s="2"/>
      <c r="F35" s="2" t="s">
        <v>67</v>
      </c>
      <c r="G35" s="2" t="str">
        <f t="shared" si="0"/>
        <v xml:space="preserve">00 02 </v>
      </c>
      <c r="H35" s="2" t="str">
        <f t="shared" si="1"/>
        <v>0002</v>
      </c>
      <c r="I35" s="2">
        <f t="shared" si="3"/>
        <v>2</v>
      </c>
      <c r="J35" s="5">
        <f>I35*0.0249</f>
        <v>4.9799999999999997E-2</v>
      </c>
      <c r="K35" s="2" t="s">
        <v>66</v>
      </c>
    </row>
    <row r="36" spans="1:11" x14ac:dyDescent="0.25">
      <c r="A36" s="2" t="s">
        <v>82</v>
      </c>
      <c r="B36" s="2" t="s">
        <v>83</v>
      </c>
      <c r="C36" s="2">
        <v>2</v>
      </c>
      <c r="D36" s="2">
        <f t="shared" si="2"/>
        <v>184</v>
      </c>
      <c r="E36" s="2"/>
      <c r="F36" s="2" t="s">
        <v>71</v>
      </c>
      <c r="G36" s="2" t="str">
        <f t="shared" ref="G36:G64" si="7">MID($A$2,D36,C36*3)</f>
        <v xml:space="preserve">00 02 </v>
      </c>
      <c r="H36" s="2" t="str">
        <f t="shared" si="1"/>
        <v>0002</v>
      </c>
      <c r="I36" s="2">
        <f t="shared" si="3"/>
        <v>2</v>
      </c>
      <c r="J36" s="5">
        <f>I36*0.009775</f>
        <v>1.9550000000000001E-2</v>
      </c>
      <c r="K36" s="2" t="s">
        <v>70</v>
      </c>
    </row>
    <row r="37" spans="1:11" x14ac:dyDescent="0.25">
      <c r="A37" s="2" t="s">
        <v>84</v>
      </c>
      <c r="B37" s="2" t="s">
        <v>85</v>
      </c>
      <c r="C37" s="2">
        <v>2</v>
      </c>
      <c r="D37" s="2">
        <f t="shared" si="2"/>
        <v>190</v>
      </c>
      <c r="E37" s="2"/>
      <c r="F37" s="2" t="s">
        <v>71</v>
      </c>
      <c r="G37" s="2" t="str">
        <f t="shared" si="7"/>
        <v xml:space="preserve">00 02 </v>
      </c>
      <c r="H37" s="2" t="str">
        <f t="shared" si="1"/>
        <v>0002</v>
      </c>
      <c r="I37" s="2">
        <f t="shared" si="3"/>
        <v>2</v>
      </c>
      <c r="J37" s="5">
        <f>I37*0.009775</f>
        <v>1.9550000000000001E-2</v>
      </c>
      <c r="K37" s="2" t="s">
        <v>70</v>
      </c>
    </row>
    <row r="38" spans="1:11" x14ac:dyDescent="0.25">
      <c r="A38" s="2" t="s">
        <v>86</v>
      </c>
      <c r="B38" s="2" t="s">
        <v>87</v>
      </c>
      <c r="C38" s="2">
        <v>2</v>
      </c>
      <c r="D38" s="2">
        <f t="shared" si="2"/>
        <v>196</v>
      </c>
      <c r="E38" s="2"/>
      <c r="F38" s="2" t="s">
        <v>89</v>
      </c>
      <c r="G38" s="2" t="str">
        <f t="shared" si="7"/>
        <v xml:space="preserve">00 12 </v>
      </c>
      <c r="H38" s="2" t="str">
        <f t="shared" si="1"/>
        <v>0012</v>
      </c>
      <c r="I38" s="2">
        <f t="shared" si="3"/>
        <v>18</v>
      </c>
      <c r="J38" s="5">
        <f>I38*14.662757</f>
        <v>263.92962599999998</v>
      </c>
      <c r="K38" s="2" t="s">
        <v>88</v>
      </c>
    </row>
    <row r="39" spans="1:11" x14ac:dyDescent="0.25">
      <c r="A39" s="2" t="s">
        <v>90</v>
      </c>
      <c r="B39" s="2" t="s">
        <v>91</v>
      </c>
      <c r="C39" s="2">
        <v>2</v>
      </c>
      <c r="D39" s="2">
        <f t="shared" si="2"/>
        <v>202</v>
      </c>
      <c r="E39" s="2"/>
      <c r="F39" s="2" t="s">
        <v>92</v>
      </c>
      <c r="G39" s="2" t="str">
        <f t="shared" si="7"/>
        <v xml:space="preserve">03 53 </v>
      </c>
      <c r="H39" s="2" t="str">
        <f t="shared" si="1"/>
        <v>0353</v>
      </c>
      <c r="I39" s="2">
        <f t="shared" si="3"/>
        <v>851</v>
      </c>
      <c r="J39" s="5">
        <f>I39*0.008993157</f>
        <v>7.6531766069999998</v>
      </c>
      <c r="K39" s="2" t="s">
        <v>66</v>
      </c>
    </row>
    <row r="40" spans="1:11" x14ac:dyDescent="0.25">
      <c r="A40" s="2" t="s">
        <v>93</v>
      </c>
      <c r="B40" s="2" t="s">
        <v>94</v>
      </c>
      <c r="C40" s="2">
        <v>2</v>
      </c>
      <c r="D40" s="2">
        <f t="shared" si="2"/>
        <v>208</v>
      </c>
      <c r="E40" s="2"/>
      <c r="F40" s="2" t="s">
        <v>95</v>
      </c>
      <c r="G40" s="2" t="str">
        <f t="shared" si="7"/>
        <v xml:space="preserve">00 10 </v>
      </c>
      <c r="H40" s="2" t="str">
        <f t="shared" si="1"/>
        <v>0010</v>
      </c>
      <c r="I40" s="2">
        <f t="shared" si="3"/>
        <v>16</v>
      </c>
      <c r="J40" s="5">
        <f>I40*0.001327547</f>
        <v>2.1240752000000002E-2</v>
      </c>
      <c r="K40" s="2" t="s">
        <v>70</v>
      </c>
    </row>
    <row r="41" spans="1:11" x14ac:dyDescent="0.25">
      <c r="A41" s="2" t="s">
        <v>96</v>
      </c>
      <c r="B41" s="2" t="s">
        <v>97</v>
      </c>
      <c r="C41" s="2">
        <v>2</v>
      </c>
      <c r="D41" s="2">
        <f t="shared" si="2"/>
        <v>214</v>
      </c>
      <c r="E41" s="2"/>
      <c r="F41" s="2" t="s">
        <v>95</v>
      </c>
      <c r="G41" s="2" t="str">
        <f t="shared" si="7"/>
        <v xml:space="preserve">00 11 </v>
      </c>
      <c r="H41" s="2" t="str">
        <f t="shared" si="1"/>
        <v>0011</v>
      </c>
      <c r="I41" s="2">
        <f t="shared" si="3"/>
        <v>17</v>
      </c>
      <c r="J41" s="5">
        <f>I41*0.001327547</f>
        <v>2.2568299E-2</v>
      </c>
      <c r="K41" s="2" t="s">
        <v>70</v>
      </c>
    </row>
    <row r="42" spans="1:11" x14ac:dyDescent="0.25">
      <c r="A42" s="2" t="s">
        <v>98</v>
      </c>
      <c r="B42" s="2" t="s">
        <v>170</v>
      </c>
      <c r="C42" s="2">
        <v>2</v>
      </c>
      <c r="D42" s="2">
        <f t="shared" si="2"/>
        <v>220</v>
      </c>
      <c r="E42" s="2"/>
      <c r="F42" s="2" t="s">
        <v>99</v>
      </c>
      <c r="G42" s="2" t="str">
        <f t="shared" si="7"/>
        <v xml:space="preserve">00 07 </v>
      </c>
      <c r="H42" s="2" t="str">
        <f t="shared" si="1"/>
        <v>0007</v>
      </c>
      <c r="I42" s="2">
        <f t="shared" si="3"/>
        <v>7</v>
      </c>
      <c r="J42" s="5">
        <f>I42*0.005237</f>
        <v>3.6659000000000004E-2</v>
      </c>
      <c r="K42" s="2" t="s">
        <v>70</v>
      </c>
    </row>
    <row r="43" spans="1:11" x14ac:dyDescent="0.25">
      <c r="A43" s="2" t="s">
        <v>100</v>
      </c>
      <c r="B43" s="2" t="s">
        <v>171</v>
      </c>
      <c r="C43" s="2">
        <v>2</v>
      </c>
      <c r="D43" s="2">
        <f t="shared" si="2"/>
        <v>226</v>
      </c>
      <c r="E43" s="2"/>
      <c r="F43" s="6" t="s">
        <v>101</v>
      </c>
      <c r="G43" s="2" t="str">
        <f t="shared" si="7"/>
        <v xml:space="preserve">03 47 </v>
      </c>
      <c r="H43" s="2" t="str">
        <f t="shared" si="1"/>
        <v>0347</v>
      </c>
      <c r="I43" s="2">
        <f t="shared" si="3"/>
        <v>839</v>
      </c>
      <c r="J43" s="5">
        <f>I43*0.008978</f>
        <v>7.5325420000000003</v>
      </c>
      <c r="K43" s="2" t="s">
        <v>66</v>
      </c>
    </row>
    <row r="44" spans="1:11" x14ac:dyDescent="0.25">
      <c r="A44" s="2" t="s">
        <v>102</v>
      </c>
      <c r="B44" s="2" t="s">
        <v>103</v>
      </c>
      <c r="C44" s="2">
        <v>2</v>
      </c>
      <c r="D44" s="2">
        <f t="shared" si="2"/>
        <v>232</v>
      </c>
      <c r="E44" s="2"/>
      <c r="F44" s="2" t="s">
        <v>99</v>
      </c>
      <c r="G44" s="2" t="str">
        <f t="shared" si="7"/>
        <v xml:space="preserve">00 08 </v>
      </c>
      <c r="H44" s="2" t="str">
        <f t="shared" si="1"/>
        <v>0008</v>
      </c>
      <c r="I44" s="2">
        <f t="shared" si="3"/>
        <v>8</v>
      </c>
      <c r="J44" s="5">
        <f>I44*0.005237</f>
        <v>4.1896000000000003E-2</v>
      </c>
      <c r="K44" s="2" t="s">
        <v>70</v>
      </c>
    </row>
    <row r="45" spans="1:11" x14ac:dyDescent="0.25">
      <c r="A45" s="2" t="s">
        <v>104</v>
      </c>
      <c r="B45" s="2" t="s">
        <v>105</v>
      </c>
      <c r="C45" s="2">
        <v>2</v>
      </c>
      <c r="D45" s="2">
        <f t="shared" si="2"/>
        <v>238</v>
      </c>
      <c r="E45" s="2"/>
      <c r="F45" s="2" t="s">
        <v>106</v>
      </c>
      <c r="G45" s="2" t="str">
        <f t="shared" si="7"/>
        <v xml:space="preserve">03 5C </v>
      </c>
      <c r="H45" s="2" t="str">
        <f t="shared" si="1"/>
        <v>035C</v>
      </c>
      <c r="I45" s="2">
        <f t="shared" si="3"/>
        <v>860</v>
      </c>
      <c r="J45" s="5">
        <f>I45*0.005865</f>
        <v>5.0439000000000007</v>
      </c>
      <c r="K45" s="2" t="s">
        <v>66</v>
      </c>
    </row>
    <row r="46" spans="1:11" x14ac:dyDescent="0.25">
      <c r="A46" s="2" t="s">
        <v>107</v>
      </c>
      <c r="B46" s="2" t="s">
        <v>108</v>
      </c>
      <c r="C46" s="2">
        <v>2</v>
      </c>
      <c r="D46" s="2">
        <f t="shared" si="2"/>
        <v>244</v>
      </c>
      <c r="E46" s="2"/>
      <c r="F46" s="2" t="s">
        <v>99</v>
      </c>
      <c r="G46" s="2" t="str">
        <f t="shared" si="7"/>
        <v xml:space="preserve">00 28 </v>
      </c>
      <c r="H46" s="2" t="str">
        <f t="shared" si="1"/>
        <v>0028</v>
      </c>
      <c r="I46" s="2">
        <f t="shared" si="3"/>
        <v>40</v>
      </c>
      <c r="J46" s="5">
        <f>I46*0.005237</f>
        <v>0.20948</v>
      </c>
      <c r="K46" s="2" t="s">
        <v>70</v>
      </c>
    </row>
    <row r="47" spans="1:11" x14ac:dyDescent="0.25">
      <c r="A47" s="2" t="s">
        <v>109</v>
      </c>
      <c r="B47" s="2" t="s">
        <v>110</v>
      </c>
      <c r="C47" s="2">
        <v>2</v>
      </c>
      <c r="D47" s="2">
        <f t="shared" si="2"/>
        <v>250</v>
      </c>
      <c r="E47" s="2"/>
      <c r="F47" s="2" t="s">
        <v>111</v>
      </c>
      <c r="G47" s="2" t="str">
        <f t="shared" si="7"/>
        <v xml:space="preserve">03 07 </v>
      </c>
      <c r="H47" s="2" t="str">
        <f t="shared" si="1"/>
        <v>0307</v>
      </c>
      <c r="I47" s="2">
        <f t="shared" si="3"/>
        <v>775</v>
      </c>
      <c r="J47" s="5">
        <f>I47*0.004311</f>
        <v>3.3410249999999997</v>
      </c>
      <c r="K47" s="2" t="s">
        <v>66</v>
      </c>
    </row>
    <row r="48" spans="1:11" x14ac:dyDescent="0.25">
      <c r="A48" s="2" t="s">
        <v>112</v>
      </c>
      <c r="B48" s="2" t="s">
        <v>113</v>
      </c>
      <c r="C48" s="2">
        <v>2</v>
      </c>
      <c r="D48" s="2">
        <f t="shared" si="2"/>
        <v>256</v>
      </c>
      <c r="E48" s="2"/>
      <c r="F48" s="2" t="s">
        <v>114</v>
      </c>
      <c r="G48" s="2" t="str">
        <f t="shared" si="7"/>
        <v xml:space="preserve">03 29 </v>
      </c>
      <c r="H48" s="2" t="str">
        <f t="shared" si="1"/>
        <v>0329</v>
      </c>
      <c r="I48" s="2">
        <f t="shared" si="3"/>
        <v>809</v>
      </c>
      <c r="J48" s="5">
        <f>I48*0.372434-273.15</f>
        <v>28.149106000000018</v>
      </c>
      <c r="K48" s="7" t="s">
        <v>115</v>
      </c>
    </row>
    <row r="49" spans="1:12" x14ac:dyDescent="0.25">
      <c r="A49" s="2" t="s">
        <v>116</v>
      </c>
      <c r="B49" s="2" t="s">
        <v>117</v>
      </c>
      <c r="C49" s="2">
        <v>2</v>
      </c>
      <c r="D49" s="2">
        <f t="shared" si="2"/>
        <v>262</v>
      </c>
      <c r="E49" s="2"/>
      <c r="F49" s="2" t="s">
        <v>118</v>
      </c>
      <c r="G49" s="2" t="str">
        <f t="shared" si="7"/>
        <v xml:space="preserve">03 4E </v>
      </c>
      <c r="H49" s="2" t="str">
        <f t="shared" si="1"/>
        <v>034E</v>
      </c>
      <c r="I49" s="2">
        <f t="shared" si="3"/>
        <v>846</v>
      </c>
      <c r="J49" s="5">
        <f>I49*0.008993</f>
        <v>7.608077999999999</v>
      </c>
      <c r="K49" s="2" t="s">
        <v>66</v>
      </c>
    </row>
    <row r="50" spans="1:12" x14ac:dyDescent="0.25">
      <c r="A50" s="2" t="s">
        <v>119</v>
      </c>
      <c r="B50" s="2" t="s">
        <v>120</v>
      </c>
      <c r="C50" s="2">
        <v>2</v>
      </c>
      <c r="D50" s="2">
        <f t="shared" si="2"/>
        <v>268</v>
      </c>
      <c r="E50" s="2"/>
      <c r="F50" s="2" t="s">
        <v>89</v>
      </c>
      <c r="G50" s="2" t="str">
        <f t="shared" si="7"/>
        <v xml:space="preserve">00 22 </v>
      </c>
      <c r="H50" s="2" t="str">
        <f t="shared" si="1"/>
        <v>0022</v>
      </c>
      <c r="I50" s="2">
        <f t="shared" si="3"/>
        <v>34</v>
      </c>
      <c r="J50" s="5">
        <f>I50*14.662757</f>
        <v>498.53373799999997</v>
      </c>
      <c r="K50" s="2" t="s">
        <v>88</v>
      </c>
    </row>
    <row r="51" spans="1:12" x14ac:dyDescent="0.25">
      <c r="A51" s="2" t="s">
        <v>121</v>
      </c>
      <c r="B51" s="2" t="s">
        <v>122</v>
      </c>
      <c r="C51" s="2">
        <v>2</v>
      </c>
      <c r="D51" s="2">
        <f t="shared" si="2"/>
        <v>274</v>
      </c>
      <c r="E51" s="2"/>
      <c r="F51" s="2" t="s">
        <v>123</v>
      </c>
      <c r="G51" s="2" t="str">
        <f t="shared" si="7"/>
        <v xml:space="preserve">00 08 </v>
      </c>
      <c r="H51" s="2" t="str">
        <f t="shared" si="1"/>
        <v>0008</v>
      </c>
      <c r="I51" s="2">
        <f t="shared" si="3"/>
        <v>8</v>
      </c>
      <c r="J51" s="2" t="str">
        <f>IF(I51&lt;512,"CHARGING","DISCHARGING")</f>
        <v>CHARGING</v>
      </c>
      <c r="K51" s="2"/>
    </row>
    <row r="52" spans="1:12" x14ac:dyDescent="0.25">
      <c r="A52" s="2" t="s">
        <v>124</v>
      </c>
      <c r="B52" s="2" t="s">
        <v>125</v>
      </c>
      <c r="C52" s="2">
        <v>2</v>
      </c>
      <c r="D52" s="2">
        <f t="shared" si="2"/>
        <v>280</v>
      </c>
      <c r="E52" s="2"/>
      <c r="F52" s="2" t="s">
        <v>126</v>
      </c>
      <c r="G52" s="2" t="str">
        <f t="shared" si="7"/>
        <v xml:space="preserve">03 18 </v>
      </c>
      <c r="H52" s="2" t="str">
        <f t="shared" si="1"/>
        <v>0318</v>
      </c>
      <c r="I52" s="2">
        <f t="shared" si="3"/>
        <v>792</v>
      </c>
      <c r="J52" s="5">
        <f>I52*0.372434-273.15</f>
        <v>21.817727999999988</v>
      </c>
      <c r="K52" s="7" t="s">
        <v>115</v>
      </c>
    </row>
    <row r="53" spans="1:12" x14ac:dyDescent="0.25">
      <c r="A53" s="2" t="s">
        <v>127</v>
      </c>
      <c r="B53" s="2" t="s">
        <v>128</v>
      </c>
      <c r="C53" s="2">
        <v>2</v>
      </c>
      <c r="D53" s="2">
        <f t="shared" si="2"/>
        <v>286</v>
      </c>
      <c r="E53" s="2"/>
      <c r="F53" s="2" t="s">
        <v>129</v>
      </c>
      <c r="G53" s="2" t="str">
        <f t="shared" si="7"/>
        <v xml:space="preserve">00 05 </v>
      </c>
      <c r="H53" s="2" t="str">
        <f t="shared" si="1"/>
        <v>0005</v>
      </c>
      <c r="I53" s="2">
        <f t="shared" si="3"/>
        <v>5</v>
      </c>
      <c r="J53" s="5">
        <f>I53*1.327547</f>
        <v>6.6377350000000002</v>
      </c>
      <c r="K53" s="2" t="s">
        <v>88</v>
      </c>
    </row>
    <row r="54" spans="1:12" x14ac:dyDescent="0.25">
      <c r="A54" s="2" t="s">
        <v>130</v>
      </c>
      <c r="B54" s="2" t="s">
        <v>131</v>
      </c>
      <c r="C54" s="2">
        <v>2</v>
      </c>
      <c r="D54" s="2">
        <f t="shared" si="2"/>
        <v>292</v>
      </c>
      <c r="E54" s="2"/>
      <c r="F54" s="2" t="s">
        <v>106</v>
      </c>
      <c r="G54" s="2" t="str">
        <f t="shared" si="7"/>
        <v xml:space="preserve">03 5C </v>
      </c>
      <c r="H54" s="2" t="str">
        <f t="shared" si="1"/>
        <v>035C</v>
      </c>
      <c r="I54" s="2">
        <f t="shared" si="3"/>
        <v>860</v>
      </c>
      <c r="J54" s="5">
        <f>I54*0.005865</f>
        <v>5.0439000000000007</v>
      </c>
      <c r="K54" s="2" t="s">
        <v>66</v>
      </c>
    </row>
    <row r="55" spans="1:12" x14ac:dyDescent="0.25">
      <c r="A55" s="2" t="s">
        <v>132</v>
      </c>
      <c r="B55" s="2" t="s">
        <v>133</v>
      </c>
      <c r="C55" s="2">
        <v>2</v>
      </c>
      <c r="D55" s="2">
        <f t="shared" si="2"/>
        <v>298</v>
      </c>
      <c r="E55" s="2"/>
      <c r="F55" s="2" t="s">
        <v>129</v>
      </c>
      <c r="G55" s="2" t="str">
        <f t="shared" si="7"/>
        <v xml:space="preserve">00 05 </v>
      </c>
      <c r="H55" s="2" t="str">
        <f t="shared" si="1"/>
        <v>0005</v>
      </c>
      <c r="I55" s="2">
        <f t="shared" si="3"/>
        <v>5</v>
      </c>
      <c r="J55" s="5">
        <f>I55*1.327547</f>
        <v>6.6377350000000002</v>
      </c>
      <c r="K55" s="2" t="s">
        <v>88</v>
      </c>
    </row>
    <row r="56" spans="1:12" x14ac:dyDescent="0.25">
      <c r="A56" s="2" t="s">
        <v>134</v>
      </c>
      <c r="B56" s="2" t="s">
        <v>135</v>
      </c>
      <c r="C56" s="2">
        <v>2</v>
      </c>
      <c r="D56" s="2">
        <f t="shared" si="2"/>
        <v>304</v>
      </c>
      <c r="E56" s="2"/>
      <c r="F56" s="2" t="s">
        <v>111</v>
      </c>
      <c r="G56" s="2" t="str">
        <f t="shared" si="7"/>
        <v xml:space="preserve">03 06 </v>
      </c>
      <c r="H56" s="2" t="str">
        <f t="shared" si="1"/>
        <v>0306</v>
      </c>
      <c r="I56" s="2">
        <f t="shared" si="3"/>
        <v>774</v>
      </c>
      <c r="J56" s="5">
        <f>I56*0.004311</f>
        <v>3.3367139999999997</v>
      </c>
      <c r="K56" s="2" t="s">
        <v>66</v>
      </c>
    </row>
    <row r="57" spans="1:12" x14ac:dyDescent="0.25">
      <c r="A57" s="2" t="s">
        <v>136</v>
      </c>
      <c r="B57" s="2" t="s">
        <v>137</v>
      </c>
      <c r="C57" s="2">
        <v>2</v>
      </c>
      <c r="D57" s="2">
        <f t="shared" si="2"/>
        <v>310</v>
      </c>
      <c r="E57" s="2"/>
      <c r="F57" s="2" t="s">
        <v>138</v>
      </c>
      <c r="G57" s="2" t="str">
        <f t="shared" si="7"/>
        <v xml:space="preserve">02 92 </v>
      </c>
      <c r="H57" s="2" t="str">
        <f t="shared" si="1"/>
        <v>0292</v>
      </c>
      <c r="I57" s="2">
        <f t="shared" si="3"/>
        <v>658</v>
      </c>
      <c r="J57" s="5">
        <f>I57*0.3976 -238.57</f>
        <v>23.050800000000038</v>
      </c>
      <c r="K57" s="7" t="s">
        <v>115</v>
      </c>
    </row>
    <row r="58" spans="1:12" x14ac:dyDescent="0.25">
      <c r="A58" s="2" t="s">
        <v>139</v>
      </c>
      <c r="B58" s="2" t="s">
        <v>140</v>
      </c>
      <c r="C58" s="2">
        <v>2</v>
      </c>
      <c r="D58" s="2">
        <f t="shared" si="2"/>
        <v>316</v>
      </c>
      <c r="E58" s="2"/>
      <c r="F58" s="2" t="s">
        <v>141</v>
      </c>
      <c r="G58" s="2" t="str">
        <f t="shared" si="7"/>
        <v xml:space="preserve">00 02 </v>
      </c>
      <c r="H58" s="2" t="str">
        <f t="shared" si="1"/>
        <v>0002</v>
      </c>
      <c r="I58" s="2">
        <f t="shared" si="3"/>
        <v>2</v>
      </c>
      <c r="J58" s="2" t="str">
        <f>IF(I58&lt;512,"OFF","ON")</f>
        <v>OFF</v>
      </c>
      <c r="K58" s="2"/>
    </row>
    <row r="59" spans="1:12" x14ac:dyDescent="0.25">
      <c r="A59" s="2" t="s">
        <v>142</v>
      </c>
      <c r="B59" s="2" t="s">
        <v>143</v>
      </c>
      <c r="C59" s="2">
        <v>2</v>
      </c>
      <c r="D59" s="2">
        <f t="shared" si="2"/>
        <v>322</v>
      </c>
      <c r="E59" s="2"/>
      <c r="F59" s="2" t="s">
        <v>138</v>
      </c>
      <c r="G59" s="2" t="str">
        <f t="shared" si="7"/>
        <v xml:space="preserve">02 94 </v>
      </c>
      <c r="H59" s="2" t="str">
        <f t="shared" si="1"/>
        <v>0294</v>
      </c>
      <c r="I59" s="2">
        <f t="shared" si="3"/>
        <v>660</v>
      </c>
      <c r="J59" s="5">
        <f>I59*0.3976 -238.57</f>
        <v>23.846000000000004</v>
      </c>
      <c r="K59" s="7" t="s">
        <v>115</v>
      </c>
    </row>
    <row r="60" spans="1:12" x14ac:dyDescent="0.25">
      <c r="A60" s="2" t="s">
        <v>144</v>
      </c>
      <c r="B60" s="2" t="s">
        <v>145</v>
      </c>
      <c r="C60" s="2">
        <v>2</v>
      </c>
      <c r="D60" s="2">
        <f t="shared" si="2"/>
        <v>328</v>
      </c>
      <c r="E60" s="2"/>
      <c r="F60" s="2" t="s">
        <v>141</v>
      </c>
      <c r="G60" s="2" t="str">
        <f t="shared" si="7"/>
        <v xml:space="preserve">00 02 </v>
      </c>
      <c r="H60" s="2" t="str">
        <f t="shared" si="1"/>
        <v>0002</v>
      </c>
      <c r="I60" s="2">
        <f t="shared" si="3"/>
        <v>2</v>
      </c>
      <c r="J60" s="2" t="str">
        <f>IF(I60&lt;512,"OFF","ON")</f>
        <v>OFF</v>
      </c>
      <c r="K60" s="2"/>
    </row>
    <row r="61" spans="1:12" x14ac:dyDescent="0.25">
      <c r="A61" s="2" t="s">
        <v>146</v>
      </c>
      <c r="B61" s="2" t="s">
        <v>147</v>
      </c>
      <c r="C61" s="2">
        <v>2</v>
      </c>
      <c r="D61" s="2">
        <f t="shared" si="2"/>
        <v>334</v>
      </c>
      <c r="E61" s="2"/>
      <c r="F61" s="2" t="s">
        <v>138</v>
      </c>
      <c r="G61" s="2" t="str">
        <f t="shared" si="7"/>
        <v xml:space="preserve">02 93 </v>
      </c>
      <c r="H61" s="2" t="str">
        <f t="shared" si="1"/>
        <v>0293</v>
      </c>
      <c r="I61" s="2">
        <f t="shared" si="3"/>
        <v>659</v>
      </c>
      <c r="J61" s="5">
        <f>I61*0.3976 -238.57</f>
        <v>23.448399999999992</v>
      </c>
      <c r="K61" s="7" t="s">
        <v>115</v>
      </c>
    </row>
    <row r="62" spans="1:12" x14ac:dyDescent="0.25">
      <c r="A62" s="2" t="s">
        <v>148</v>
      </c>
      <c r="B62" s="2" t="s">
        <v>149</v>
      </c>
      <c r="C62" s="2">
        <v>2</v>
      </c>
      <c r="D62" s="2">
        <f t="shared" si="2"/>
        <v>340</v>
      </c>
      <c r="E62" s="2"/>
      <c r="F62" s="2" t="s">
        <v>141</v>
      </c>
      <c r="G62" s="2" t="str">
        <f t="shared" si="7"/>
        <v xml:space="preserve">00 02 </v>
      </c>
      <c r="H62" s="2" t="str">
        <f t="shared" si="1"/>
        <v>0002</v>
      </c>
      <c r="I62" s="2">
        <f t="shared" si="3"/>
        <v>2</v>
      </c>
      <c r="J62" s="2" t="str">
        <f>IF(I62&lt;512,"OFF","ON")</f>
        <v>OFF</v>
      </c>
      <c r="K62" s="2"/>
    </row>
    <row r="63" spans="1:12" x14ac:dyDescent="0.25">
      <c r="A63" s="2" t="s">
        <v>150</v>
      </c>
      <c r="B63" s="2" t="s">
        <v>151</v>
      </c>
      <c r="C63" s="2">
        <v>4</v>
      </c>
      <c r="D63" s="2">
        <f t="shared" si="2"/>
        <v>346</v>
      </c>
      <c r="E63" s="2"/>
      <c r="F63" s="2" t="s">
        <v>152</v>
      </c>
      <c r="G63" s="2" t="str">
        <f t="shared" si="7"/>
        <v xml:space="preserve">00 00 00 00 </v>
      </c>
      <c r="H63" s="2" t="str">
        <f t="shared" si="1"/>
        <v>00000000</v>
      </c>
      <c r="I63" s="2">
        <f t="shared" si="3"/>
        <v>0</v>
      </c>
      <c r="J63" s="4">
        <f>I63/(60*60*24)+"1/1/1970"</f>
        <v>25569</v>
      </c>
      <c r="K63" s="2"/>
      <c r="L63" t="s">
        <v>165</v>
      </c>
    </row>
    <row r="64" spans="1:12" x14ac:dyDescent="0.25">
      <c r="A64" s="2" t="s">
        <v>153</v>
      </c>
      <c r="B64" s="2" t="s">
        <v>154</v>
      </c>
      <c r="C64" s="2">
        <v>4</v>
      </c>
      <c r="D64" s="2">
        <f t="shared" si="2"/>
        <v>358</v>
      </c>
      <c r="E64" s="2"/>
      <c r="F64" s="2" t="s">
        <v>154</v>
      </c>
      <c r="G64" s="2" t="str">
        <f t="shared" si="7"/>
        <v xml:space="preserve">00 01 02 F9 </v>
      </c>
      <c r="H64" s="2" t="str">
        <f t="shared" si="1"/>
        <v>000102F9</v>
      </c>
      <c r="I64" s="2">
        <f t="shared" si="3"/>
        <v>66297</v>
      </c>
      <c r="J64" s="2">
        <f>I64/1000</f>
        <v>66.296999999999997</v>
      </c>
      <c r="K64" s="2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USTTL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Karataş</dc:creator>
  <cp:lastModifiedBy>Mustafa Karataş</cp:lastModifiedBy>
  <dcterms:created xsi:type="dcterms:W3CDTF">2018-05-12T07:10:38Z</dcterms:created>
  <dcterms:modified xsi:type="dcterms:W3CDTF">2018-05-12T07:32:11Z</dcterms:modified>
</cp:coreProperties>
</file>